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lorisation" sheetId="1" r:id="rId4"/>
  </sheets>
  <definedNames/>
  <calcPr/>
  <pivotCaches>
    <pivotCache cacheId="0" r:id="rId5"/>
  </pivotCaches>
</workbook>
</file>

<file path=xl/sharedStrings.xml><?xml version="1.0" encoding="utf-8"?>
<sst xmlns="http://schemas.openxmlformats.org/spreadsheetml/2006/main" count="59" uniqueCount="43">
  <si>
    <t>Amortissement linéaire 3 ans. Valeur résiduelle = 1/3 de la valeur initiale</t>
  </si>
  <si>
    <t>Valorisation à la date du</t>
  </si>
  <si>
    <t>Mise en prod</t>
  </si>
  <si>
    <t>Période</t>
  </si>
  <si>
    <t>Objet</t>
  </si>
  <si>
    <t>Type</t>
  </si>
  <si>
    <t>Nb jours</t>
  </si>
  <si>
    <t>Coût / jour</t>
  </si>
  <si>
    <t>Coût</t>
  </si>
  <si>
    <t>Ancienneté</t>
  </si>
  <si>
    <t>Valeur</t>
  </si>
  <si>
    <t>Valeur nette</t>
  </si>
  <si>
    <t>Plancher</t>
  </si>
  <si>
    <t>Retenu</t>
  </si>
  <si>
    <t>Application v1</t>
  </si>
  <si>
    <t>Développement</t>
  </si>
  <si>
    <t>Valeur totale</t>
  </si>
  <si>
    <t>Application v2 finale</t>
  </si>
  <si>
    <t>Maintenance 2017</t>
  </si>
  <si>
    <t>Maintenance</t>
  </si>
  <si>
    <t>Maintenance 2018</t>
  </si>
  <si>
    <t>Maintenance 2019 + techno</t>
  </si>
  <si>
    <t>SUM de Retenu</t>
  </si>
  <si>
    <t>Evolutions &amp; connexion ERP</t>
  </si>
  <si>
    <t>Total général</t>
  </si>
  <si>
    <t>Maintenance 2020</t>
  </si>
  <si>
    <t>Coût de mise à niveau iso fonctionnalité</t>
  </si>
  <si>
    <t>Rétro conception fonctionnelle et technique</t>
  </si>
  <si>
    <t>Implémentation de tests fonctionnels automatisés</t>
  </si>
  <si>
    <t>Résolution de la dette technique</t>
  </si>
  <si>
    <t>Mise à niveau des composants techniques</t>
  </si>
  <si>
    <t>Développement d'une nouvelle API</t>
  </si>
  <si>
    <t>Total</t>
  </si>
  <si>
    <t>Coût de remplacement avec fonctionnalités ERP</t>
  </si>
  <si>
    <t>Ateliers et rédaction des spécifications fonctionnelles</t>
  </si>
  <si>
    <t>Budget de développement (première estimation)</t>
  </si>
  <si>
    <t>Autres critères : formation / conduite du changement / coûts ERP / dépendance ERP</t>
  </si>
  <si>
    <t>Nous estimons la valeur financière de votre application, à partir des coûts de développement initial et de maintenance et/ou à partir de la charge de travail qu’ont représenté ces travaux.</t>
  </si>
  <si>
    <t>A partir de l’inventaire des fonctionnalités de votre application (+lien), et sur la base de notre expérience et de notre méthodologie d’évaluation, nous vous fournissons un chiffrage du coût de réalisation de la version souhaitable de votre application.</t>
  </si>
  <si>
    <t>Nous établissons le ratio entre la valeur de votre application et son coût de maintenance, qui est un indicateur clé de son degré d’obsolescence.</t>
  </si>
  <si>
    <t>A partir de ces éléments, vous disposez d’indicateurs financiers vous permettant d’envisager le coût de remplacement de votre application, de sa mise à niveau en maintenance corrective et évolutive, ou en dernier ressort de son isolement (dockerisation par exemple).</t>
  </si>
  <si>
    <r>
      <rPr>
        <rFont val="Calibri, sans-serif"/>
        <color rgb="FF000000"/>
        <sz val="12.0"/>
      </rPr>
      <t xml:space="preserve">Retrouvez l'ensemble des outils et bonus liés à l'audit applicatif sur : </t>
    </r>
    <r>
      <rPr>
        <rFont val="Calibri, sans-serif"/>
        <color rgb="FF1155CC"/>
        <sz val="12.0"/>
        <u/>
      </rPr>
      <t>www.axiocode.com/bonus-audit</t>
    </r>
  </si>
  <si>
    <r>
      <rPr>
        <rFont val="Calibri, sans-serif"/>
        <color rgb="FF000000"/>
        <sz val="12.0"/>
      </rPr>
      <t xml:space="preserve">En savoir plus sur </t>
    </r>
    <r>
      <rPr>
        <rFont val="Calibri, sans-serif"/>
        <color rgb="FF1155CC"/>
        <sz val="12.0"/>
        <u/>
      </rPr>
      <t>www.axiocode.com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</si>
</sst>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#,##0.00\ [$€-1]"/>
    <numFmt numFmtId="166" formatCode="0 &quot;mois&quot;"/>
  </numFmts>
  <fonts count="7">
    <font>
      <sz val="10.0"/>
      <color rgb="FF000000"/>
      <name val="Arial"/>
    </font>
    <font>
      <b/>
      <color theme="1"/>
      <name val="Arial"/>
    </font>
    <font>
      <b/>
      <color rgb="FF980000"/>
      <name val="Arial"/>
    </font>
    <font>
      <color theme="1"/>
      <name val="Arial"/>
    </font>
    <font>
      <sz val="12.0"/>
      <color rgb="FF000000"/>
      <name val="Calibri"/>
    </font>
    <font>
      <u/>
      <sz val="12.0"/>
      <color rgb="FF000000"/>
      <name val="Calibri"/>
    </font>
    <font>
      <u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3">
    <border/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left" readingOrder="0"/>
    </xf>
    <xf borderId="0" fillId="0" fontId="1" numFmtId="164" xfId="0" applyAlignment="1" applyFont="1" applyNumberFormat="1">
      <alignment horizontal="right" readingOrder="0"/>
    </xf>
    <xf borderId="0" fillId="0" fontId="1" numFmtId="0" xfId="0" applyAlignment="1" applyFont="1">
      <alignment horizontal="center" readingOrder="0"/>
    </xf>
    <xf borderId="0" fillId="2" fontId="3" numFmtId="164" xfId="0" applyAlignment="1" applyFill="1" applyFont="1" applyNumberFormat="1">
      <alignment horizontal="left" readingOrder="0"/>
    </xf>
    <xf borderId="0" fillId="2" fontId="3" numFmtId="49" xfId="0" applyAlignment="1" applyFont="1" applyNumberFormat="1">
      <alignment horizontal="center" readingOrder="0"/>
    </xf>
    <xf borderId="0" fillId="2" fontId="3" numFmtId="165" xfId="0" applyAlignment="1" applyFont="1" applyNumberFormat="1">
      <alignment readingOrder="0"/>
    </xf>
    <xf borderId="0" fillId="2" fontId="3" numFmtId="4" xfId="0" applyAlignment="1" applyFont="1" applyNumberFormat="1">
      <alignment readingOrder="0"/>
    </xf>
    <xf borderId="0" fillId="2" fontId="3" numFmtId="166" xfId="0" applyFont="1" applyNumberFormat="1"/>
    <xf borderId="0" fillId="2" fontId="3" numFmtId="165" xfId="0" applyFont="1" applyNumberFormat="1"/>
    <xf borderId="1" fillId="2" fontId="1" numFmtId="0" xfId="0" applyAlignment="1" applyBorder="1" applyFont="1">
      <alignment readingOrder="0"/>
    </xf>
    <xf borderId="1" fillId="2" fontId="1" numFmtId="165" xfId="0" applyBorder="1" applyFont="1" applyNumberFormat="1"/>
    <xf borderId="0" fillId="0" fontId="3" numFmtId="10" xfId="0" applyFont="1" applyNumberFormat="1"/>
    <xf borderId="0" fillId="0" fontId="3" numFmtId="0" xfId="0" applyAlignment="1" applyFont="1">
      <alignment vertical="bottom"/>
    </xf>
    <xf borderId="0" fillId="0" fontId="3" numFmtId="0" xfId="0" applyFont="1"/>
    <xf borderId="0" fillId="0" fontId="3" numFmtId="0" xfId="0" applyAlignment="1" applyFont="1">
      <alignment vertical="bottom"/>
    </xf>
    <xf borderId="0" fillId="0" fontId="3" numFmtId="4" xfId="0" applyAlignment="1" applyFont="1" applyNumberFormat="1">
      <alignment vertical="bottom"/>
    </xf>
    <xf borderId="0" fillId="0" fontId="3" numFmtId="49" xfId="0" applyAlignment="1" applyFont="1" applyNumberFormat="1">
      <alignment vertical="bottom"/>
    </xf>
    <xf borderId="0" fillId="0" fontId="3" numFmtId="165" xfId="0" applyAlignment="1" applyFont="1" applyNumberFormat="1">
      <alignment vertical="bottom"/>
    </xf>
    <xf borderId="0" fillId="0" fontId="3" numFmtId="165" xfId="0" applyFont="1" applyNumberFormat="1"/>
    <xf borderId="0" fillId="0" fontId="3" numFmtId="0" xfId="0" applyAlignment="1" applyFont="1">
      <alignment horizontal="left" readingOrder="0"/>
    </xf>
    <xf borderId="0" fillId="0" fontId="3" numFmtId="165" xfId="0" applyAlignment="1" applyFont="1" applyNumberFormat="1">
      <alignment readingOrder="0"/>
    </xf>
    <xf borderId="0" fillId="0" fontId="3" numFmtId="166" xfId="0" applyFont="1" applyNumberFormat="1"/>
    <xf borderId="0" fillId="0" fontId="3" numFmtId="164" xfId="0" applyAlignment="1" applyFont="1" applyNumberFormat="1">
      <alignment horizontal="left" readingOrder="0"/>
    </xf>
    <xf borderId="0" fillId="0" fontId="3" numFmtId="49" xfId="0" applyFont="1" applyNumberFormat="1"/>
    <xf borderId="0" fillId="0" fontId="3" numFmtId="0" xfId="0" applyAlignment="1" applyFont="1">
      <alignment readingOrder="0"/>
    </xf>
    <xf borderId="0" fillId="3" fontId="3" numFmtId="0" xfId="0" applyAlignment="1" applyFill="1" applyFont="1">
      <alignment readingOrder="0"/>
    </xf>
    <xf borderId="0" fillId="3" fontId="3" numFmtId="165" xfId="0" applyAlignment="1" applyFont="1" applyNumberFormat="1">
      <alignment readingOrder="0"/>
    </xf>
    <xf borderId="0" fillId="3" fontId="3" numFmtId="165" xfId="0" applyFont="1" applyNumberFormat="1"/>
    <xf borderId="0" fillId="3" fontId="3" numFmtId="0" xfId="0" applyAlignment="1" applyFont="1">
      <alignment readingOrder="0" vertical="bottom"/>
    </xf>
    <xf borderId="0" fillId="0" fontId="1" numFmtId="165" xfId="0" applyFont="1" applyNumberFormat="1"/>
    <xf borderId="0" fillId="0" fontId="4" numFmtId="0" xfId="0" applyAlignment="1" applyFont="1">
      <alignment readingOrder="0"/>
    </xf>
    <xf borderId="0" fillId="0" fontId="4" numFmtId="0" xfId="0" applyFont="1"/>
    <xf borderId="2" fillId="0" fontId="5" numFmtId="0" xfId="0" applyAlignment="1" applyBorder="1" applyFont="1">
      <alignment readingOrder="0"/>
    </xf>
    <xf borderId="2" fillId="0" fontId="3" numFmtId="0" xfId="0" applyBorder="1" applyFont="1"/>
    <xf borderId="0" fillId="0" fontId="6" numFmtId="0" xfId="0" applyAlignment="1" applyFont="1">
      <alignment readingOrder="0"/>
    </xf>
  </cellXfs>
  <cellStyles count="1">
    <cellStyle xfId="0" name="Normal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pivotCacheDefinition" Target="pivotCache/pivotCacheDefinition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strRef>
              <c:f>Valorisation!$O$10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4"/>
          </c:dPt>
          <c:cat>
            <c:strRef>
              <c:f>Valorisation!$N$11:$N$14</c:f>
            </c:strRef>
          </c:cat>
          <c:val>
            <c:numRef>
              <c:f>Valorisation!$O$11:$O$14</c:f>
              <c:numCache/>
            </c:numRef>
          </c:val>
        </c:ser>
        <c:ser>
          <c:idx val="1"/>
          <c:order val="1"/>
          <c:tx>
            <c:strRef>
              <c:f>Valorisation!$P$10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Pt>
            <c:idx val="4"/>
          </c:dPt>
          <c:cat>
            <c:strRef>
              <c:f>Valorisation!$N$11:$N$14</c:f>
            </c:strRef>
          </c:cat>
          <c:val>
            <c:numRef>
              <c:f>Valorisation!$P$11:$P$14</c:f>
              <c:numCache/>
            </c:numRef>
          </c:val>
        </c:ser>
        <c:overlap val="100"/>
        <c:axId val="707009265"/>
        <c:axId val="2142487672"/>
      </c:barChart>
      <c:catAx>
        <c:axId val="7070092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2487672"/>
      </c:catAx>
      <c:valAx>
        <c:axId val="21424876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70092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219075</xdr:colOff>
      <xdr:row>4</xdr:row>
      <xdr:rowOff>9525</xdr:rowOff>
    </xdr:from>
    <xdr:ext cx="3562350" cy="218122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4:L11" sheet="Valorisation"/>
  </cacheSource>
  <cacheFields>
    <cacheField name="Mise en prod" numFmtId="164">
      <sharedItems containsSemiMixedTypes="0" containsDate="1" containsString="0">
        <d v="2017-02-10T00:00:00Z"/>
        <d v="2017-06-15T00:00:00Z"/>
        <d v="2017-12-31T00:00:00Z"/>
        <d v="2018-12-31T00:00:00Z"/>
        <d v="2019-12-31T00:00:00Z"/>
        <d v="2020-06-20T00:00:00Z"/>
        <d v="2020-12-31T00:00:00Z"/>
      </sharedItems>
    </cacheField>
    <cacheField name="Période" numFmtId="49">
      <sharedItems containsSemiMixedTypes="0" containsString="0" containsNumber="1" containsInteger="1">
        <n v="2017.0"/>
        <n v="2018.0"/>
        <n v="2019.0"/>
        <n v="2020.0"/>
      </sharedItems>
    </cacheField>
    <cacheField name="Objet" numFmtId="165">
      <sharedItems>
        <s v="Application v1"/>
        <s v="Application v2 finale"/>
        <s v="Maintenance 2017"/>
        <s v="Maintenance 2018"/>
        <s v="Maintenance 2019 + techno"/>
        <s v="Evolutions &amp; connexion ERP"/>
        <s v="Maintenance 2020"/>
      </sharedItems>
    </cacheField>
    <cacheField name="Type" numFmtId="4">
      <sharedItems>
        <s v="Développement"/>
        <s v="Maintenance"/>
      </sharedItems>
    </cacheField>
    <cacheField name="Nb jours" numFmtId="4">
      <sharedItems containsString="0" containsBlank="1" containsNumber="1" containsInteger="1">
        <n v="65.0"/>
        <n v="30.0"/>
        <m/>
        <n v="35.0"/>
      </sharedItems>
    </cacheField>
    <cacheField name="Coût / jour" numFmtId="165">
      <sharedItems containsString="0" containsBlank="1" containsNumber="1" containsInteger="1">
        <n v="550.0"/>
        <m/>
        <n v="600.0"/>
      </sharedItems>
    </cacheField>
    <cacheField name="Coût" numFmtId="165">
      <sharedItems containsSemiMixedTypes="0" containsString="0" containsNumber="1" containsInteger="1">
        <n v="35750.0"/>
        <n v="16500.0"/>
        <n v="2480.0"/>
        <n v="3265.0"/>
        <n v="18540.0"/>
        <n v="21000.0"/>
        <n v="27865.0"/>
      </sharedItems>
    </cacheField>
    <cacheField name="Ancienneté" numFmtId="166">
      <sharedItems containsSemiMixedTypes="0" containsString="0" containsNumber="1" containsInteger="1">
        <n v="51.0"/>
        <n v="47.0"/>
        <n v="40.0"/>
        <n v="28.0"/>
        <n v="16.0"/>
        <n v="10.0"/>
        <n v="4.0"/>
      </sharedItems>
    </cacheField>
    <cacheField name="Valeur" numFmtId="165">
      <sharedItems containsSemiMixedTypes="0" containsString="0" containsNumber="1">
        <n v="11916.666666666666"/>
        <n v="5500.0"/>
        <n v="826.6666666666666"/>
        <n v="1088.3333333333333"/>
        <n v="10300.0"/>
        <n v="15166.666666666668"/>
        <n v="24768.88888888889"/>
      </sharedItems>
    </cacheField>
    <cacheField name="Valeur nette" numFmtId="165">
      <sharedItems containsSemiMixedTypes="0" containsString="0" containsNumber="1">
        <n v="0.0"/>
        <n v="10300.0"/>
        <n v="15166.666666666668"/>
        <n v="24768.88888888889"/>
      </sharedItems>
    </cacheField>
    <cacheField name="Plancher" numFmtId="165">
      <sharedItems containsSemiMixedTypes="0" containsString="0" containsNumber="1">
        <n v="11916.666666666666"/>
        <n v="5500.0"/>
        <n v="826.6666666666666"/>
        <n v="1088.3333333333333"/>
        <n v="6180.0"/>
        <n v="7000.0"/>
        <n v="9288.333333333334"/>
      </sharedItems>
    </cacheField>
    <cacheField name="Retenu" numFmtId="165">
      <sharedItems containsSemiMixedTypes="0" containsString="0" containsNumber="1">
        <n v="11916.666666666666"/>
        <n v="5500.0"/>
        <n v="826.6666666666666"/>
        <n v="1088.3333333333333"/>
        <n v="10300.0"/>
        <n v="15166.666666666668"/>
        <n v="24768.88888888889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alorisation" cacheId="0" dataCaption="" compact="0" compactData="0">
  <location ref="N9:Q15" firstHeaderRow="0" firstDataRow="1" firstDataCol="1"/>
  <pivotFields>
    <pivotField name="Mise en prod" compact="0" numFmtId="164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Période" axis="axisRow" compact="0" numFmtId="49" outline="0" multipleItemSelectionAllowed="1" showAll="0" sortType="ascending">
      <items>
        <item x="0"/>
        <item x="1"/>
        <item x="2"/>
        <item x="3"/>
        <item t="default"/>
      </items>
    </pivotField>
    <pivotField name="Objet" compact="0" numFmtId="165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ype" axis="axisCol" compact="0" numFmtId="4" outline="0" multipleItemSelectionAllowed="1" showAll="0" sortType="ascending">
      <items>
        <item x="0"/>
        <item x="1"/>
        <item t="default"/>
      </items>
    </pivotField>
    <pivotField name="Nb jours" compact="0" numFmtId="4" outline="0" multipleItemSelectionAllowed="1" showAll="0">
      <items>
        <item x="0"/>
        <item x="1"/>
        <item x="2"/>
        <item x="3"/>
        <item t="default"/>
      </items>
    </pivotField>
    <pivotField name="Coût / jour" compact="0" numFmtId="165" outline="0" multipleItemSelectionAllowed="1" showAll="0">
      <items>
        <item x="0"/>
        <item x="1"/>
        <item x="2"/>
        <item t="default"/>
      </items>
    </pivotField>
    <pivotField name="Coût" compact="0" numFmtId="165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ncienneté" compact="0" numFmtId="166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Valeur" compact="0" numFmtId="165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Valeur nette" compact="0" numFmtId="165" outline="0" multipleItemSelectionAllowed="1" showAll="0">
      <items>
        <item x="0"/>
        <item x="1"/>
        <item x="2"/>
        <item x="3"/>
        <item t="default"/>
      </items>
    </pivotField>
    <pivotField name="Plancher" compact="0" numFmtId="165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tenu" dataField="1" compact="0" numFmtId="165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</pivotFields>
  <rowFields>
    <field x="1"/>
  </rowFields>
  <colFields>
    <field x="3"/>
  </colFields>
  <dataFields>
    <dataField name="SUM of Retenu" fld="11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://www.axiocode.com/bonus-audit" TargetMode="External"/><Relationship Id="rId3" Type="http://schemas.openxmlformats.org/officeDocument/2006/relationships/hyperlink" Target="http://www.axiocod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57"/>
    <col customWidth="1" min="2" max="2" width="9.71"/>
    <col customWidth="1" min="3" max="3" width="46.0"/>
    <col customWidth="1" min="4" max="4" width="15.43"/>
    <col customWidth="1" min="5" max="6" width="12.14"/>
    <col customWidth="1" min="7" max="12" width="12.71"/>
    <col customWidth="1" min="16" max="16" width="12.43"/>
  </cols>
  <sheetData>
    <row r="1">
      <c r="A1" s="1" t="s">
        <v>0</v>
      </c>
    </row>
    <row r="2">
      <c r="A2" s="2" t="s">
        <v>1</v>
      </c>
      <c r="B2" s="3"/>
      <c r="C2" s="3">
        <v>44331.0</v>
      </c>
      <c r="H2" s="4"/>
    </row>
    <row r="3">
      <c r="A3" s="1"/>
      <c r="B3" s="5"/>
      <c r="C3" s="5"/>
      <c r="D3" s="5"/>
      <c r="E3" s="5"/>
      <c r="F3" s="5"/>
      <c r="G3" s="5"/>
      <c r="H3" s="4"/>
      <c r="I3" s="5"/>
      <c r="J3" s="5"/>
      <c r="K3" s="5"/>
      <c r="L3" s="5"/>
    </row>
    <row r="4">
      <c r="A4" s="1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>
      <c r="A5" s="6">
        <v>42776.0</v>
      </c>
      <c r="B5" s="7">
        <f t="shared" ref="B5:B11" si="1">YEAR(A5)</f>
        <v>2017</v>
      </c>
      <c r="C5" s="8" t="s">
        <v>14</v>
      </c>
      <c r="D5" s="9" t="s">
        <v>15</v>
      </c>
      <c r="E5" s="9">
        <v>65.0</v>
      </c>
      <c r="F5" s="8">
        <v>550.0</v>
      </c>
      <c r="G5" s="8">
        <f t="shared" ref="G5:G6" si="2">F5*E5</f>
        <v>35750</v>
      </c>
      <c r="H5" s="10">
        <f t="shared" ref="H5:H11" si="3">DATEDIF(A5,$C$2,"M")</f>
        <v>51</v>
      </c>
      <c r="I5" s="11">
        <f t="shared" ref="I5:I12" si="4">L5</f>
        <v>11916.66667</v>
      </c>
      <c r="J5" s="11">
        <f t="shared" ref="J5:J11" si="5">IF(H5&gt;24,0,G5/36*(36-H5))</f>
        <v>0</v>
      </c>
      <c r="K5" s="11">
        <f t="shared" ref="K5:K11" si="6">G5/3</f>
        <v>11916.66667</v>
      </c>
      <c r="L5" s="11">
        <f t="shared" ref="L5:L11" si="7">max(J5:K5)</f>
        <v>11916.66667</v>
      </c>
      <c r="N5" s="12" t="s">
        <v>16</v>
      </c>
      <c r="O5" s="13">
        <f>SUM(L5:L11)</f>
        <v>69567.22222</v>
      </c>
    </row>
    <row r="6">
      <c r="A6" s="6">
        <v>42901.0</v>
      </c>
      <c r="B6" s="7">
        <f t="shared" si="1"/>
        <v>2017</v>
      </c>
      <c r="C6" s="8" t="s">
        <v>17</v>
      </c>
      <c r="D6" s="9" t="s">
        <v>15</v>
      </c>
      <c r="E6" s="9">
        <v>30.0</v>
      </c>
      <c r="F6" s="8">
        <v>550.0</v>
      </c>
      <c r="G6" s="8">
        <f t="shared" si="2"/>
        <v>16500</v>
      </c>
      <c r="H6" s="10">
        <f t="shared" si="3"/>
        <v>47</v>
      </c>
      <c r="I6" s="11">
        <f t="shared" si="4"/>
        <v>5500</v>
      </c>
      <c r="J6" s="11">
        <f t="shared" si="5"/>
        <v>0</v>
      </c>
      <c r="K6" s="11">
        <f t="shared" si="6"/>
        <v>5500</v>
      </c>
      <c r="L6" s="11">
        <f t="shared" si="7"/>
        <v>5500</v>
      </c>
      <c r="N6" s="9" t="s">
        <v>15</v>
      </c>
      <c r="O6" s="8">
        <f t="shared" ref="O6:O7" si="8">SUMIF($D$5:$D$11,N6,$L$5:$L$11)</f>
        <v>32583.33333</v>
      </c>
      <c r="P6" s="14">
        <f t="shared" ref="P6:P7" si="9">O6/$O$5</f>
        <v>0.4683719184</v>
      </c>
    </row>
    <row r="7">
      <c r="A7" s="6">
        <v>43100.0</v>
      </c>
      <c r="B7" s="7">
        <f t="shared" si="1"/>
        <v>2017</v>
      </c>
      <c r="C7" s="8" t="s">
        <v>18</v>
      </c>
      <c r="D7" s="9" t="s">
        <v>19</v>
      </c>
      <c r="E7" s="9"/>
      <c r="F7" s="8"/>
      <c r="G7" s="8">
        <v>2480.0</v>
      </c>
      <c r="H7" s="10">
        <f t="shared" si="3"/>
        <v>40</v>
      </c>
      <c r="I7" s="11">
        <f t="shared" si="4"/>
        <v>826.6666667</v>
      </c>
      <c r="J7" s="11">
        <f t="shared" si="5"/>
        <v>0</v>
      </c>
      <c r="K7" s="11">
        <f t="shared" si="6"/>
        <v>826.6666667</v>
      </c>
      <c r="L7" s="11">
        <f t="shared" si="7"/>
        <v>826.6666667</v>
      </c>
      <c r="N7" s="9" t="s">
        <v>19</v>
      </c>
      <c r="O7" s="8">
        <f t="shared" si="8"/>
        <v>36983.88889</v>
      </c>
      <c r="P7" s="14">
        <f t="shared" si="9"/>
        <v>0.5316280816</v>
      </c>
    </row>
    <row r="8">
      <c r="A8" s="6">
        <v>43465.0</v>
      </c>
      <c r="B8" s="7">
        <f t="shared" si="1"/>
        <v>2018</v>
      </c>
      <c r="C8" s="8" t="s">
        <v>20</v>
      </c>
      <c r="D8" s="9" t="s">
        <v>19</v>
      </c>
      <c r="E8" s="9"/>
      <c r="F8" s="8"/>
      <c r="G8" s="8">
        <v>3265.0</v>
      </c>
      <c r="H8" s="10">
        <f t="shared" si="3"/>
        <v>28</v>
      </c>
      <c r="I8" s="11">
        <f t="shared" si="4"/>
        <v>1088.333333</v>
      </c>
      <c r="J8" s="11">
        <f t="shared" si="5"/>
        <v>0</v>
      </c>
      <c r="K8" s="11">
        <f t="shared" si="6"/>
        <v>1088.333333</v>
      </c>
      <c r="L8" s="11">
        <f t="shared" si="7"/>
        <v>1088.333333</v>
      </c>
    </row>
    <row r="9">
      <c r="A9" s="6">
        <v>43830.0</v>
      </c>
      <c r="B9" s="7">
        <f t="shared" si="1"/>
        <v>2019</v>
      </c>
      <c r="C9" s="8" t="s">
        <v>21</v>
      </c>
      <c r="D9" s="9" t="s">
        <v>19</v>
      </c>
      <c r="E9" s="9"/>
      <c r="F9" s="8"/>
      <c r="G9" s="8">
        <v>18540.0</v>
      </c>
      <c r="H9" s="10">
        <f t="shared" si="3"/>
        <v>16</v>
      </c>
      <c r="I9" s="11">
        <f t="shared" si="4"/>
        <v>10300</v>
      </c>
      <c r="J9" s="11">
        <f t="shared" si="5"/>
        <v>10300</v>
      </c>
      <c r="K9" s="11">
        <f t="shared" si="6"/>
        <v>6180</v>
      </c>
      <c r="L9" s="11">
        <f t="shared" si="7"/>
        <v>10300</v>
      </c>
    </row>
    <row r="10">
      <c r="A10" s="6">
        <v>44002.0</v>
      </c>
      <c r="B10" s="7">
        <f t="shared" si="1"/>
        <v>2020</v>
      </c>
      <c r="C10" s="8" t="s">
        <v>23</v>
      </c>
      <c r="D10" s="9" t="s">
        <v>15</v>
      </c>
      <c r="E10" s="9">
        <v>35.0</v>
      </c>
      <c r="F10" s="8">
        <v>600.0</v>
      </c>
      <c r="G10" s="8">
        <f>F10*E10</f>
        <v>21000</v>
      </c>
      <c r="H10" s="10">
        <f t="shared" si="3"/>
        <v>10</v>
      </c>
      <c r="I10" s="11">
        <f t="shared" si="4"/>
        <v>15166.66667</v>
      </c>
      <c r="J10" s="11">
        <f t="shared" si="5"/>
        <v>15166.66667</v>
      </c>
      <c r="K10" s="11">
        <f t="shared" si="6"/>
        <v>7000</v>
      </c>
      <c r="L10" s="11">
        <f t="shared" si="7"/>
        <v>15166.66667</v>
      </c>
    </row>
    <row r="11">
      <c r="A11" s="6">
        <v>44196.0</v>
      </c>
      <c r="B11" s="7">
        <f t="shared" si="1"/>
        <v>2020</v>
      </c>
      <c r="C11" s="8" t="s">
        <v>25</v>
      </c>
      <c r="D11" s="9" t="s">
        <v>19</v>
      </c>
      <c r="E11" s="9"/>
      <c r="F11" s="8"/>
      <c r="G11" s="8">
        <v>27865.0</v>
      </c>
      <c r="H11" s="10">
        <f t="shared" si="3"/>
        <v>4</v>
      </c>
      <c r="I11" s="11">
        <f t="shared" si="4"/>
        <v>24768.88889</v>
      </c>
      <c r="J11" s="11">
        <f t="shared" si="5"/>
        <v>24768.88889</v>
      </c>
      <c r="K11" s="11">
        <f t="shared" si="6"/>
        <v>9288.333333</v>
      </c>
      <c r="L11" s="11">
        <f t="shared" si="7"/>
        <v>24768.88889</v>
      </c>
    </row>
    <row r="12">
      <c r="A12" s="22"/>
      <c r="B12" s="23"/>
      <c r="C12" s="23"/>
      <c r="D12" s="23"/>
      <c r="E12" s="23"/>
      <c r="F12" s="23"/>
      <c r="G12" s="23">
        <f>SUM(G5:G11)</f>
        <v>125400</v>
      </c>
      <c r="H12" s="24"/>
      <c r="I12" s="23">
        <f t="shared" si="4"/>
        <v>69567.22222</v>
      </c>
      <c r="K12" s="23"/>
      <c r="L12" s="23">
        <f>SUM(L5:L11)</f>
        <v>69567.22222</v>
      </c>
    </row>
    <row r="13">
      <c r="A13" s="25"/>
      <c r="B13" s="23"/>
      <c r="C13" s="23"/>
      <c r="D13" s="23"/>
      <c r="E13" s="23"/>
      <c r="F13" s="23"/>
      <c r="G13" s="23"/>
      <c r="H13" s="24"/>
    </row>
    <row r="14"/>
    <row r="15"/>
    <row r="17">
      <c r="A17" s="27"/>
    </row>
    <row r="18">
      <c r="A18" s="27"/>
      <c r="C18" s="1" t="s">
        <v>26</v>
      </c>
      <c r="D18" s="5" t="s">
        <v>6</v>
      </c>
      <c r="E18" s="5" t="s">
        <v>7</v>
      </c>
      <c r="F18" s="5" t="s">
        <v>8</v>
      </c>
    </row>
    <row r="19">
      <c r="A19" s="27"/>
      <c r="C19" s="28" t="s">
        <v>27</v>
      </c>
      <c r="D19" s="28">
        <v>6.0</v>
      </c>
      <c r="E19" s="29">
        <v>600.0</v>
      </c>
      <c r="F19" s="30">
        <f t="shared" ref="F19:F23" si="10">E19*D19</f>
        <v>3600</v>
      </c>
    </row>
    <row r="20">
      <c r="A20" s="27"/>
      <c r="C20" s="28" t="s">
        <v>28</v>
      </c>
      <c r="D20" s="28">
        <v>20.0</v>
      </c>
      <c r="E20" s="29">
        <v>600.0</v>
      </c>
      <c r="F20" s="30">
        <f t="shared" si="10"/>
        <v>12000</v>
      </c>
    </row>
    <row r="21">
      <c r="A21" s="27"/>
      <c r="C21" s="28" t="s">
        <v>29</v>
      </c>
      <c r="D21" s="28">
        <v>15.0</v>
      </c>
      <c r="E21" s="29">
        <v>600.0</v>
      </c>
      <c r="F21" s="30">
        <f t="shared" si="10"/>
        <v>9000</v>
      </c>
    </row>
    <row r="22">
      <c r="A22" s="27"/>
      <c r="C22" s="28" t="s">
        <v>30</v>
      </c>
      <c r="D22" s="28">
        <v>35.0</v>
      </c>
      <c r="E22" s="29">
        <v>600.0</v>
      </c>
      <c r="F22" s="30">
        <f t="shared" si="10"/>
        <v>21000</v>
      </c>
    </row>
    <row r="23">
      <c r="A23" s="27"/>
      <c r="C23" s="31" t="s">
        <v>31</v>
      </c>
      <c r="D23" s="31">
        <v>25.0</v>
      </c>
      <c r="E23" s="29">
        <v>600.0</v>
      </c>
      <c r="F23" s="30">
        <f t="shared" si="10"/>
        <v>15000</v>
      </c>
    </row>
    <row r="24">
      <c r="A24" s="27"/>
      <c r="C24" s="1" t="s">
        <v>32</v>
      </c>
      <c r="F24" s="32">
        <f>SUM(F19:F23)</f>
        <v>60600</v>
      </c>
    </row>
    <row r="25">
      <c r="A25" s="27"/>
      <c r="C25" s="1"/>
    </row>
    <row r="26">
      <c r="A26" s="27"/>
      <c r="C26" s="1" t="s">
        <v>33</v>
      </c>
    </row>
    <row r="27">
      <c r="A27" s="27"/>
      <c r="C27" s="28" t="s">
        <v>34</v>
      </c>
      <c r="D27" s="28">
        <v>10.0</v>
      </c>
      <c r="E27" s="29">
        <v>600.0</v>
      </c>
      <c r="F27" s="30">
        <f t="shared" ref="F27:F28" si="11">E27*D27</f>
        <v>6000</v>
      </c>
    </row>
    <row r="28">
      <c r="A28" s="27"/>
      <c r="C28" s="28" t="s">
        <v>35</v>
      </c>
      <c r="D28" s="28">
        <v>150.0</v>
      </c>
      <c r="E28" s="29">
        <v>600.0</v>
      </c>
      <c r="F28" s="30">
        <f t="shared" si="11"/>
        <v>90000</v>
      </c>
    </row>
    <row r="29">
      <c r="A29" s="27"/>
      <c r="C29" s="1" t="s">
        <v>32</v>
      </c>
      <c r="F29" s="32">
        <f>F28+F27</f>
        <v>96000</v>
      </c>
    </row>
    <row r="30">
      <c r="A30" s="27"/>
    </row>
    <row r="31">
      <c r="A31" s="27"/>
    </row>
    <row r="32">
      <c r="A32" s="27" t="s">
        <v>36</v>
      </c>
    </row>
    <row r="35">
      <c r="A35" s="33" t="s">
        <v>37</v>
      </c>
    </row>
    <row r="36">
      <c r="A36" s="34"/>
    </row>
    <row r="37">
      <c r="A37" s="33" t="s">
        <v>38</v>
      </c>
    </row>
    <row r="38">
      <c r="A38" s="34"/>
    </row>
    <row r="39">
      <c r="A39" s="33" t="s">
        <v>39</v>
      </c>
    </row>
    <row r="40">
      <c r="A40" s="34"/>
    </row>
    <row r="41">
      <c r="A41" s="33" t="s">
        <v>40</v>
      </c>
    </row>
    <row r="42">
      <c r="A42" s="34"/>
    </row>
    <row r="43">
      <c r="A43" s="35" t="s">
        <v>41</v>
      </c>
      <c r="B43" s="36"/>
      <c r="C43" s="36"/>
      <c r="D43" s="36"/>
      <c r="E43" s="36"/>
    </row>
    <row r="44">
      <c r="A44" s="37" t="s">
        <v>42</v>
      </c>
    </row>
  </sheetData>
  <conditionalFormatting sqref="H5:H13">
    <cfRule type="cellIs" dxfId="0" priority="1" operator="equal">
      <formula>0</formula>
    </cfRule>
  </conditionalFormatting>
  <hyperlinks>
    <hyperlink r:id="rId2" ref="A43"/>
    <hyperlink r:id="rId3" ref="A44"/>
  </hyperlinks>
  <drawing r:id="rId4"/>
</worksheet>
</file>